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puts" sheetId="1" r:id="rId1"/>
    <sheet name="Model" sheetId="2" r:id="rId2"/>
    <sheet name="Synergies" sheetId="3" r:id="rId3"/>
    <sheet name="Valuation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0">
    <numFmt numFmtId="165" formatCode="#,##0.0;(#,##0.0)"/>
    <numFmt numFmtId="166" formatCode="#,##0.0;(#,##0.0)"/>
    <numFmt numFmtId="167" formatCode="0.0%"/>
    <numFmt numFmtId="168" formatCode="0.0&quot;x&quot;"/>
    <numFmt numFmtId="169" formatCode="#,##0.0;(#,##0.0)"/>
    <numFmt numFmtId="170" formatCode="#,##0.0;(#,##0.0)"/>
    <numFmt numFmtId="171" formatCode="#,##0.0;(#,##0.0)"/>
    <numFmt numFmtId="172" formatCode="0.0%"/>
    <numFmt numFmtId="173" formatCode="0.0&quot;x&quot;"/>
    <numFmt numFmtId="174" formatCode="0.0%"/>
  </numFmts>
  <fonts count="23" x14ac:knownFonts="1">
    <font>
      <sz val="11"/>
      <name val="Calibri"/>
    </font>
    <font>
      <sz val="11"/>
      <name val="Calibri"/>
    </font>
    <font>
      <sz val="13"/>
      <name val="Georgia"/>
      <b/>
      <color rgb="0A1F2E"/>
    </font>
    <font>
      <sz val="9"/>
      <name val="Arial"/>
      <i/>
      <color rgb="63666A"/>
    </font>
    <font>
      <sz val="10"/>
      <name val="Arial"/>
      <b/>
      <color rgb="FFFFFF"/>
    </font>
    <font>
      <sz val="10"/>
      <name val="Arial"/>
      <b/>
      <color rgb="FFFFFF"/>
    </font>
    <font>
      <sz val="10"/>
      <name val="Arial"/>
      <color rgb="1A1A1A"/>
    </font>
    <font>
      <sz val="10"/>
      <name val="Arial"/>
      <b/>
      <color rgb="1F4E79"/>
    </font>
    <font>
      <sz val="10"/>
      <name val="Arial"/>
      <b/>
      <color rgb="1F4E79"/>
    </font>
    <font>
      <sz val="10"/>
      <name val="Arial"/>
      <b/>
      <color rgb="1F4E79"/>
    </font>
    <font>
      <sz val="10"/>
      <name val="Arial"/>
      <b/>
      <color rgb="1F4E79"/>
    </font>
    <font>
      <sz val="10"/>
      <name val="Arial"/>
      <b/>
      <color rgb="FFFFFF"/>
    </font>
    <font>
      <sz val="10"/>
      <name val="Arial"/>
      <b/>
      <color rgb="FFFFFF"/>
    </font>
    <font>
      <sz val="10"/>
      <name val="Arial"/>
      <b/>
      <color rgb="0A1F2E"/>
    </font>
    <font>
      <sz val="10"/>
      <name val="Arial"/>
      <b/>
      <color rgb="0A1F2E"/>
    </font>
    <font>
      <sz val="10"/>
      <name val="Arial"/>
      <color rgb="1A1A1A"/>
    </font>
    <font>
      <sz val="10"/>
      <name val="Arial"/>
      <b/>
      <color rgb="1A1A1A"/>
    </font>
    <font>
      <sz val="10"/>
      <name val="Arial"/>
      <b/>
      <color rgb="1A1A1A"/>
    </font>
    <font>
      <sz val="10"/>
      <name val="Arial"/>
      <b/>
      <color rgb="1A1A1A"/>
    </font>
    <font>
      <sz val="9"/>
      <name val="Arial"/>
      <i/>
      <color rgb="63666A"/>
    </font>
    <font>
      <sz val="10"/>
      <name val="Arial"/>
      <b/>
      <color rgb="1A1A1A"/>
    </font>
    <font>
      <sz val="10"/>
      <name val="Arial"/>
      <b/>
      <color rgb="FFFFFF"/>
    </font>
    <font>
      <sz val="10"/>
      <name val="Arial"/>
      <b/>
      <color rgb="0A1F2E"/>
    </font>
  </fonts>
  <fills count="18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0A1F2E"/>
        <bgColor/>
      </patternFill>
    </fill>
    <fill>
      <patternFill patternType="solid">
        <fgColor rgb="FF0A1F2E"/>
        <bgColor/>
      </patternFill>
    </fill>
    <fill>
      <patternFill patternType="solid">
        <fgColor rgb="FFFFF2CC"/>
        <bgColor/>
      </patternFill>
    </fill>
    <fill>
      <patternFill patternType="solid">
        <fgColor rgb="FFFFF2CC"/>
        <bgColor/>
      </patternFill>
    </fill>
    <fill>
      <patternFill patternType="solid">
        <fgColor rgb="FFFFF2CC"/>
        <bgColor/>
      </patternFill>
    </fill>
    <fill>
      <patternFill patternType="solid">
        <fgColor rgb="FFFFF2CC"/>
        <bgColor/>
      </patternFill>
    </fill>
    <fill>
      <patternFill patternType="solid">
        <fgColor rgb="FF0A1F2E"/>
        <bgColor/>
      </patternFill>
    </fill>
    <fill>
      <patternFill patternType="solid">
        <fgColor rgb="FF0A1F2E"/>
        <bgColor/>
      </patternFill>
    </fill>
    <fill>
      <patternFill patternType="solid">
        <fgColor rgb="FFE8EDFF"/>
        <bgColor/>
      </patternFill>
    </fill>
    <fill>
      <patternFill patternType="solid">
        <fgColor rgb="FFE8EDFF"/>
        <bgColor/>
      </patternFill>
    </fill>
    <fill>
      <patternFill patternType="solid">
        <fgColor rgb="FFF2F5F7"/>
        <bgColor/>
      </patternFill>
    </fill>
    <fill>
      <patternFill patternType="solid">
        <fgColor rgb="FFF2F5F7"/>
        <bgColor/>
      </patternFill>
    </fill>
    <fill>
      <patternFill patternType="solid">
        <fgColor rgb="FFF2F5F7"/>
        <bgColor/>
      </patternFill>
    </fill>
    <fill>
      <patternFill patternType="solid">
        <fgColor rgb="FFF2F5F7"/>
        <bgColor/>
      </patternFill>
    </fill>
    <fill>
      <patternFill patternType="solid">
        <fgColor rgb="FF0A1F2E"/>
        <bgColor/>
      </patternFill>
    </fill>
    <fill>
      <patternFill patternType="solid">
        <fgColor rgb="FFE8EDFF"/>
        <bgColor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D9D9DD"/>
      </left>
      <right style="thin">
        <color rgb="D9D9DD"/>
      </right>
      <top style="thin">
        <color rgb="D9D9DD"/>
      </top>
      <bottom style="thin">
        <color rgb="D9D9DD"/>
      </bottom>
      <diagonal/>
    </border>
    <border>
      <left style="thin">
        <color rgb="D9D9DD"/>
      </left>
      <right style="thin">
        <color rgb="D9D9DD"/>
      </right>
      <top style="thin">
        <color rgb="D9D9DD"/>
      </top>
      <bottom style="thin">
        <color rgb="D9D9DD"/>
      </bottom>
      <diagonal/>
    </border>
    <border>
      <left style="thin">
        <color rgb="D9D9DD"/>
      </left>
      <right style="thin">
        <color rgb="D9D9DD"/>
      </right>
      <top style="thin">
        <color rgb="D9D9DD"/>
      </top>
      <bottom style="thin">
        <color rgb="D9D9DD"/>
      </bottom>
      <diagonal/>
    </border>
    <border>
      <left style="thin">
        <color rgb="D9D9DD"/>
      </left>
      <right style="thin">
        <color rgb="D9D9DD"/>
      </right>
      <top style="thin">
        <color rgb="D9D9DD"/>
      </top>
      <bottom style="thin">
        <color rgb="D9D9DD"/>
      </bottom>
      <diagonal/>
    </border>
    <border>
      <left/>
      <right/>
      <top style="thin">
        <color rgb="0A1F2E"/>
      </top>
      <bottom/>
      <diagonal/>
    </border>
    <border>
      <left/>
      <right/>
      <top style="thin">
        <color rgb="0A1F2E"/>
      </top>
      <bottom/>
      <diagonal/>
    </border>
    <border>
      <left/>
      <right/>
      <top style="thin">
        <color rgb="0A1F2E"/>
      </top>
      <bottom/>
      <diagonal/>
    </border>
    <border>
      <left/>
      <right/>
      <top style="thin">
        <color rgb="0A1F2E"/>
      </top>
      <bottom/>
      <diagonal/>
    </border>
  </borders>
  <cellStyleXfs>
    <xf numFmtId="0" fontId="0" fillId="0" borderId="0"/>
  </cellStyleXfs>
  <cellXfs count="24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6" fillId="0" borderId="0" xfId="0" applyFont="1"/>
    <xf numFmtId="165" fontId="7" fillId="4" borderId="2" xfId="0" applyFont="1" applyFill="1" applyBorder="1" applyNumberFormat="1" applyAlignment="1">
      <alignment horizontal="right"/>
    </xf>
    <xf numFmtId="166" fontId="8" fillId="5" borderId="3" xfId="0" applyFont="1" applyFill="1" applyBorder="1" applyNumberFormat="1" applyAlignment="1">
      <alignment horizontal="right"/>
    </xf>
    <xf numFmtId="167" fontId="9" fillId="6" borderId="4" xfId="0" applyFont="1" applyFill="1" applyBorder="1" applyNumberFormat="1" applyAlignment="1">
      <alignment horizontal="right"/>
    </xf>
    <xf numFmtId="168" fontId="10" fillId="7" borderId="5" xfId="0" applyFont="1" applyFill="1" applyBorder="1" applyNumberFormat="1" applyAlignment="1">
      <alignment horizontal="right"/>
    </xf>
    <xf numFmtId="0" fontId="11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4" fillId="11" borderId="0" xfId="0" applyFont="1" applyFill="1" applyAlignment="1">
      <alignment horizontal="center"/>
    </xf>
    <xf numFmtId="169" fontId="15" fillId="0" borderId="0" xfId="0" applyFont="1" applyNumberFormat="1" applyAlignment="1">
      <alignment horizontal="right"/>
    </xf>
    <xf numFmtId="0" fontId="16" fillId="12" borderId="6" xfId="0" applyFont="1" applyFill="1" applyBorder="1"/>
    <xf numFmtId="170" fontId="17" fillId="13" borderId="7" xfId="0" applyFont="1" applyFill="1" applyBorder="1" applyNumberFormat="1" applyAlignment="1">
      <alignment horizontal="right"/>
    </xf>
    <xf numFmtId="171" fontId="18" fillId="14" borderId="8" xfId="0" applyFont="1" applyFill="1" applyBorder="1" applyNumberFormat="1" applyAlignment="1">
      <alignment horizontal="right"/>
    </xf>
    <xf numFmtId="172" fontId="19" fillId="0" borderId="0" xfId="0" applyFont="1" applyNumberFormat="1" applyAlignment="1">
      <alignment horizontal="right"/>
    </xf>
    <xf numFmtId="0" fontId="20" fillId="15" borderId="9" xfId="0" applyFont="1" applyFill="1" applyBorder="1"/>
    <xf numFmtId="173" fontId="21" fillId="16" borderId="0" xfId="0" applyFont="1" applyFill="1" applyNumberFormat="1" applyAlignment="1">
      <alignment horizontal="center"/>
    </xf>
    <xf numFmtId="174" fontId="22" fillId="17" borderId="0" xfId="0" applyFont="1" applyFill="1" applyNumberFormat="1" applyAlignment="1">
      <alignment horizontal="center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cols>
    <col min="1" max="1" width="48.83203125" customWidth="1"/>
    <col min="2" max="2" width="14.83203125" customWidth="1"/>
  </cols>
  <sheetData>
    <row r="1">
      <c r="A1" s="3" t="str">
        <v>Meridian Components Inc.: model inputs ($ millions)</v>
      </c>
    </row>
    <row r="2">
      <c r="A2" s="4" t="str">
        <v>Yellow cells are inputs. Every other number in this workbook is a live formula linked to them.</v>
      </c>
    </row>
    <row r="4">
      <c r="A4" s="5" t="str">
        <v>CLIENT DATA, LATEST ACTUAL YEAR FY24A</v>
      </c>
      <c r="B4" s="6" t="str">
        <v/>
      </c>
    </row>
    <row r="5">
      <c r="A5" s="7" t="str">
        <v>Revenue</v>
      </c>
      <c r="B5" s="8">
        <v>183</v>
      </c>
    </row>
    <row r="6">
      <c r="A6" s="7" t="str">
        <v>Cost of goods sold</v>
      </c>
      <c r="B6" s="9">
        <v>114.9</v>
      </c>
    </row>
    <row r="7">
      <c r="A7" s="7" t="str">
        <v>Opex / G&amp;A (back office)</v>
      </c>
      <c r="B7" s="9">
        <v>33.8</v>
      </c>
    </row>
    <row r="9">
      <c r="A9" s="6" t="str">
        <v>PROJECTION ASSUMPTIONS</v>
      </c>
      <c r="B9" s="6" t="str">
        <v/>
      </c>
    </row>
    <row r="10">
      <c r="A10" s="7" t="str">
        <v>Revenue growth, annual</v>
      </c>
      <c r="B10" s="10">
        <v>0.08823055346886433</v>
      </c>
    </row>
    <row r="12">
      <c r="A12" s="6" t="str">
        <v>SYNERGY ASSUMPTIONS, EACH APPLIED TO ITS OWN LINE</v>
      </c>
      <c r="B12" s="6" t="str">
        <v/>
      </c>
    </row>
    <row r="13">
      <c r="A13" s="7" t="str">
        <v>Revenue uplift, low end</v>
      </c>
      <c r="B13" s="10">
        <v>0.05</v>
      </c>
    </row>
    <row r="14">
      <c r="A14" s="7" t="str">
        <v>Revenue uplift, high end</v>
      </c>
      <c r="B14" s="10">
        <v>0.1</v>
      </c>
    </row>
    <row r="15">
      <c r="A15" s="7" t="str">
        <v>Flow through margin on new revenue</v>
      </c>
      <c r="B15" s="10">
        <v>0.187</v>
      </c>
    </row>
    <row r="16">
      <c r="A16" s="7" t="str">
        <v>Cost of goods sold: synergy %, low end</v>
      </c>
      <c r="B16" s="10">
        <v>0.05</v>
      </c>
    </row>
    <row r="17">
      <c r="A17" s="7" t="str">
        <v>Cost of goods sold: synergy %, high end</v>
      </c>
      <c r="B17" s="10">
        <v>0.08</v>
      </c>
    </row>
    <row r="18">
      <c r="A18" s="7" t="str">
        <v>Opex / G&amp;A (back office): synergy %, low end</v>
      </c>
      <c r="B18" s="10">
        <v>0.1</v>
      </c>
    </row>
    <row r="19">
      <c r="A19" s="7" t="str">
        <v>Opex / G&amp;A (back office): synergy %, high end</v>
      </c>
      <c r="B19" s="10">
        <v>0.25</v>
      </c>
    </row>
    <row r="21">
      <c r="A21" s="6" t="str">
        <v>VALUATION ASSUMPTIONS</v>
      </c>
      <c r="B21" s="6" t="str">
        <v/>
      </c>
    </row>
    <row r="22">
      <c r="A22" s="7" t="str">
        <v>EV to EBITDA multiple</v>
      </c>
      <c r="B22" s="11">
        <v>8</v>
      </c>
    </row>
    <row r="23">
      <c r="A23" s="7" t="str">
        <v>EV to revenue multiple, cross check</v>
      </c>
      <c r="B23" s="11">
        <v>1.5</v>
      </c>
    </row>
  </sheetData>
  <ignoredErrors>
    <ignoredError numberStoredAsText="1" sqref="A1:B2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26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1.83203125" customWidth="1"/>
    <col min="7" max="7" width="11.83203125" customWidth="1"/>
    <col min="8" max="8" width="11.83203125" customWidth="1"/>
    <col min="9" max="9" width="11.83203125" customWidth="1"/>
    <col min="10" max="10" width="11.83203125" customWidth="1"/>
  </cols>
  <sheetData>
    <row r="1">
      <c r="A1" s="3" t="str">
        <v>Meridian Components Inc.: historicals and five year projection ($ millions)</v>
      </c>
    </row>
    <row r="2">
      <c r="A2" s="4" t="str">
        <v>A = actual, F = forecast. Forecast cells are formulas driven by the Inputs sheet.</v>
      </c>
    </row>
    <row r="3">
      <c r="A3" s="6" t="str">
        <v/>
      </c>
      <c r="B3" s="12" t="str">
        <v>FY21A</v>
      </c>
      <c r="C3" s="13" t="str">
        <v>FY22A</v>
      </c>
      <c r="D3" s="13" t="str">
        <v>FY23A</v>
      </c>
      <c r="E3" s="13" t="str">
        <v>FY24A</v>
      </c>
      <c r="F3" s="14" t="str">
        <v>FY25F</v>
      </c>
      <c r="G3" s="15" t="str">
        <v>FY26F</v>
      </c>
      <c r="H3" s="15" t="str">
        <v>FY27F</v>
      </c>
      <c r="I3" s="15" t="str">
        <v>FY28F</v>
      </c>
      <c r="J3" s="15" t="str">
        <v>FY29F</v>
      </c>
    </row>
    <row r="4">
      <c r="A4" s="7" t="str">
        <v>Revenue</v>
      </c>
      <c r="B4" s="16">
        <v>142</v>
      </c>
      <c r="C4" s="16">
        <v>154</v>
      </c>
      <c r="D4" s="16">
        <v>168</v>
      </c>
      <c r="E4" s="16">
        <v>183</v>
      </c>
      <c r="F4" s="16">
        <f>E4*(1+Inputs!$B$10)</f>
        <v>199.14619128480217</v>
      </c>
      <c r="G4" s="16">
        <f>F4*(1+Inputs!$B$10)</f>
        <v>216.7169699630766</v>
      </c>
      <c r="H4" s="16">
        <f>G4*(1+Inputs!$B$10)</f>
        <v>235.83802816901408</v>
      </c>
      <c r="I4" s="16">
        <f>H4*(1+Inputs!$B$10)</f>
        <v>256.6461479233718</v>
      </c>
      <c r="J4" s="16">
        <f>I4*(1+Inputs!$B$10)</f>
        <v>279.2901796003029</v>
      </c>
    </row>
    <row r="5">
      <c r="A5" s="7" t="str">
        <v>COGS</v>
      </c>
      <c r="B5" s="16">
        <v>92.3</v>
      </c>
      <c r="C5" s="16">
        <v>99.1</v>
      </c>
      <c r="D5" s="16">
        <v>107</v>
      </c>
      <c r="E5" s="16">
        <v>114.9</v>
      </c>
      <c r="F5" s="16">
        <f>F4*(E5/E4)</f>
        <v>125.03769059357252</v>
      </c>
      <c r="G5" s="16">
        <f>G4*(E5/E4)</f>
        <v>136.06983523911205</v>
      </c>
      <c r="H5" s="16">
        <f>H4*(E5/E4)</f>
        <v>148.0753521126761</v>
      </c>
      <c r="I5" s="16">
        <f>I4*(E5/E4)</f>
        <v>161.14012238467444</v>
      </c>
      <c r="J5" s="16">
        <f>J4*(E5/E4)</f>
        <v>175.35760456871483</v>
      </c>
    </row>
    <row r="6">
      <c r="A6" s="7" t="str">
        <v>Opex / SG&amp;A</v>
      </c>
      <c r="B6" s="16">
        <v>28.4</v>
      </c>
      <c r="C6" s="16">
        <v>30.1</v>
      </c>
      <c r="D6" s="16">
        <v>32</v>
      </c>
      <c r="E6" s="16">
        <v>33.8</v>
      </c>
      <c r="F6" s="16">
        <f>F4*(E6/E4)</f>
        <v>36.78219270724761</v>
      </c>
      <c r="G6" s="16">
        <f>G4*(E6/E4)</f>
        <v>40.02750592760649</v>
      </c>
      <c r="H6" s="16">
        <f>H4*(E6/E4)</f>
        <v>43.55915492957747</v>
      </c>
      <c r="I6" s="16">
        <f>I4*(E6/E4)</f>
        <v>47.402403277650095</v>
      </c>
      <c r="J6" s="16">
        <f>J4*(E6/E4)</f>
        <v>51.584743554591476</v>
      </c>
    </row>
    <row r="7">
      <c r="A7" s="17" t="str">
        <v>EBITDA</v>
      </c>
      <c r="B7" s="18">
        <f>B4-B5-B6</f>
        <v>21.300000000000004</v>
      </c>
      <c r="C7" s="19">
        <f>C4-C5-C6</f>
        <v>24.800000000000004</v>
      </c>
      <c r="D7" s="19">
        <f>D4-D5-D6</f>
        <v>29</v>
      </c>
      <c r="E7" s="19">
        <f>E4-E5-E6</f>
        <v>34.3</v>
      </c>
      <c r="F7" s="19">
        <f>F4-F5-F6</f>
        <v>37.32630798398204</v>
      </c>
      <c r="G7" s="19">
        <f>G4-G5-G6</f>
        <v>40.619628796358064</v>
      </c>
      <c r="H7" s="19">
        <f>H4-H5-H6</f>
        <v>44.20352112676056</v>
      </c>
      <c r="I7" s="19">
        <f>I4-I5-I6</f>
        <v>48.103622261047285</v>
      </c>
      <c r="J7" s="19">
        <f>J4-J5-J6</f>
        <v>52.34783147699667</v>
      </c>
    </row>
    <row r="8">
      <c r="A8" s="7" t="str">
        <v>Revenue growth %</v>
      </c>
      <c r="C8" s="20">
        <f>(C4-B4)/B4</f>
        <v>0.08450704225352124</v>
      </c>
      <c r="D8" s="20">
        <f>(D4-C4)/C4</f>
        <v>0.09090909090909083</v>
      </c>
      <c r="E8" s="20">
        <f>(E4-D4)/D4</f>
        <v>0.08928571428571419</v>
      </c>
      <c r="F8" s="20">
        <f>(F4-E4)/E4</f>
        <v>0.08823055346886433</v>
      </c>
      <c r="G8" s="20">
        <f>(G4-F4)/F4</f>
        <v>0.08823055346886433</v>
      </c>
      <c r="H8" s="20">
        <f>(H4-G4)/G4</f>
        <v>0.08823055346886433</v>
      </c>
      <c r="I8" s="20">
        <f>(I4-H4)/H4</f>
        <v>0.08823055346886433</v>
      </c>
      <c r="J8" s="20">
        <f>(J4-I4)/I4</f>
        <v>0.08823055346886433</v>
      </c>
    </row>
    <row r="9">
      <c r="A9" s="7" t="str">
        <v>EBITDA margin %</v>
      </c>
      <c r="B9" s="20">
        <f>B7/B4</f>
        <v>0.15000000000000002</v>
      </c>
      <c r="C9" s="20">
        <f>C7/C4</f>
        <v>0.16103896103896106</v>
      </c>
      <c r="D9" s="20">
        <f>D7/D4</f>
        <v>0.17261904761904762</v>
      </c>
      <c r="E9" s="20">
        <f>E7/E4</f>
        <v>0.18743169398907103</v>
      </c>
      <c r="F9" s="20">
        <f>F7/F4</f>
        <v>0.187431693989071</v>
      </c>
      <c r="G9" s="20">
        <f>G7/G4</f>
        <v>0.187431693989071</v>
      </c>
      <c r="H9" s="20">
        <f>H7/H4</f>
        <v>0.18743169398907103</v>
      </c>
      <c r="I9" s="20">
        <f>I7/I4</f>
        <v>0.18743169398907103</v>
      </c>
      <c r="J9" s="20">
        <f>J7/J4</f>
        <v>0.187431693989071</v>
      </c>
    </row>
  </sheetData>
  <ignoredErrors>
    <ignoredError numberStoredAsText="1" sqref="A1:J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cols>
    <col min="1" max="1" width="42.83203125" customWidth="1"/>
    <col min="2" max="2" width="14.83203125" customWidth="1"/>
    <col min="3" max="3" width="14.83203125" customWidth="1"/>
    <col min="4" max="4" width="14.83203125" customWidth="1"/>
  </cols>
  <sheetData>
    <row r="1">
      <c r="A1" s="3" t="str">
        <v>Meridian Components Inc.: annual synergy value scenarios ($ millions)</v>
      </c>
    </row>
    <row r="2">
      <c r="A2" s="4" t="str">
        <v>Conservative = low end of every range. Aggressive = high end. Midpoint = average.</v>
      </c>
    </row>
    <row r="3">
      <c r="A3" s="6" t="str">
        <v/>
      </c>
      <c r="B3" s="13" t="str">
        <v>Conservative</v>
      </c>
      <c r="C3" s="13" t="str">
        <v>Midpoint</v>
      </c>
      <c r="D3" s="13" t="str">
        <v>Aggressive</v>
      </c>
    </row>
    <row r="4">
      <c r="A4" s="7" t="str">
        <v>Revenue synergy, at flow through margin</v>
      </c>
      <c r="B4" s="16">
        <f>Inputs!$B$5*Inputs!$B$13*Inputs!$B$15</f>
        <v>1.71105</v>
      </c>
      <c r="C4" s="16">
        <f>Inputs!$B$5*AVERAGE(Inputs!$B$13,Inputs!$B$14)*Inputs!$B$15</f>
        <v>2.5665750000000003</v>
      </c>
      <c r="D4" s="16">
        <f>Inputs!$B$5*Inputs!$B$14*Inputs!$B$15</f>
        <v>3.4221</v>
      </c>
    </row>
    <row r="5">
      <c r="A5" s="7" t="str">
        <v>Cost of goods sold synergy</v>
      </c>
      <c r="B5" s="16">
        <f>Inputs!$B$6*Inputs!$B$16</f>
        <v>5.745000000000001</v>
      </c>
      <c r="C5" s="16">
        <f>Inputs!$B$6*AVERAGE(Inputs!$B$16,Inputs!$B$17)</f>
        <v>7.468500000000001</v>
      </c>
      <c r="D5" s="16">
        <f>Inputs!$B$6*Inputs!$B$17</f>
        <v>9.192</v>
      </c>
    </row>
    <row r="6">
      <c r="A6" s="7" t="str">
        <v>Opex / G&amp;A (back office) synergy</v>
      </c>
      <c r="B6" s="16">
        <f>Inputs!$B$7*Inputs!$B$18</f>
        <v>3.38</v>
      </c>
      <c r="C6" s="16">
        <f>Inputs!$B$7*AVERAGE(Inputs!$B$18,Inputs!$B$19)</f>
        <v>5.914999999999999</v>
      </c>
      <c r="D6" s="16">
        <f>Inputs!$B$7*Inputs!$B$19</f>
        <v>8.45</v>
      </c>
    </row>
    <row r="7">
      <c r="A7" s="21" t="str">
        <v>Total synergy value</v>
      </c>
      <c r="B7" s="19">
        <f>SUM(B4:B6)</f>
        <v>10.83605</v>
      </c>
      <c r="C7" s="19">
        <f>SUM(C4:C6)</f>
        <v>15.950075</v>
      </c>
      <c r="D7" s="19">
        <f>SUM(D4:D6)</f>
        <v>21.0641</v>
      </c>
    </row>
    <row r="8">
      <c r="A8" s="7" t="str">
        <v>Total as % of revenue</v>
      </c>
      <c r="B8" s="20">
        <f>B7/Inputs!$B$5</f>
        <v>0.05921338797814208</v>
      </c>
      <c r="C8" s="20">
        <f>C7/Inputs!$B$5</f>
        <v>0.08715887978142077</v>
      </c>
      <c r="D8" s="20">
        <f>D7/Inputs!$B$5</f>
        <v>0.11510437158469945</v>
      </c>
    </row>
  </sheetData>
  <ignoredErrors>
    <ignoredError numberStoredAsText="1" sqref="A1:D8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cols>
    <col min="1" max="1" width="46.83203125" customWidth="1"/>
    <col min="2" max="2" width="16.83203125" customWidth="1"/>
  </cols>
  <sheetData>
    <row r="1">
      <c r="A1" s="3" t="str">
        <v>Meridian Components Inc.: valuation view ($ millions)</v>
      </c>
    </row>
    <row r="2">
      <c r="A2" s="4" t="str">
        <v>Change the multiples on the Inputs sheet; every value here recalculates.</v>
      </c>
    </row>
    <row r="4">
      <c r="A4" s="6" t="str">
        <v>ENTERPRISE VALUE AT THE EV TO EBITDA MULTIPLE</v>
      </c>
      <c r="B4" s="6" t="str">
        <v/>
      </c>
    </row>
    <row r="5">
      <c r="A5" s="7" t="str">
        <v>EBITDA, FY24A actual</v>
      </c>
      <c r="B5" s="16">
        <f>Model!E7</f>
        <v>34.3</v>
      </c>
    </row>
    <row r="6">
      <c r="A6" s="7" t="str">
        <v>Enterprise value at the multiple</v>
      </c>
      <c r="B6" s="16">
        <f>B5*Inputs!$B$22</f>
        <v>274.4</v>
      </c>
    </row>
    <row r="7">
      <c r="A7" s="7" t="str">
        <v>Midpoint annual synergy value</v>
      </c>
      <c r="B7" s="16">
        <f>Synergies!C7</f>
        <v>15.950075</v>
      </c>
    </row>
    <row r="8">
      <c r="A8" s="7" t="str">
        <v>EBITDA including synergy capture</v>
      </c>
      <c r="B8" s="16">
        <f>B5+B7</f>
        <v>50.250074999999995</v>
      </c>
    </row>
    <row r="9">
      <c r="A9" s="7" t="str">
        <v>Enterprise value including synergy capture</v>
      </c>
      <c r="B9" s="16">
        <f>B8*Inputs!$B$22</f>
        <v>402.00059999999996</v>
      </c>
    </row>
    <row r="10">
      <c r="A10" s="21" t="str">
        <v>Value creation from synergy capture</v>
      </c>
      <c r="B10" s="19">
        <f>B9-B6</f>
        <v>127.6006</v>
      </c>
    </row>
    <row r="12">
      <c r="A12" s="6" t="str">
        <v>REVENUE CROSS CHECK</v>
      </c>
      <c r="B12" s="6" t="str">
        <v/>
      </c>
    </row>
    <row r="13">
      <c r="A13" s="7" t="str">
        <v>Revenue, FY24A actual</v>
      </c>
      <c r="B13" s="16">
        <f>Inputs!$B$5</f>
        <v>183</v>
      </c>
    </row>
    <row r="14">
      <c r="A14" s="7" t="str">
        <v>Enterprise value at the revenue multiple</v>
      </c>
      <c r="B14" s="16">
        <f>B13*Inputs!$B$23</f>
        <v>274.5</v>
      </c>
    </row>
    <row r="16">
      <c r="A16" s="6" t="str">
        <v>SENSITIVITY: EV ON NEXT YEAR EBITDA, ACROSS GROWTH AND MULTIPLE</v>
      </c>
      <c r="B16" s="6" t="str">
        <v/>
      </c>
      <c r="C16" s="6" t="str">
        <v/>
      </c>
      <c r="D16" s="6" t="str">
        <v/>
      </c>
      <c r="E16" s="6" t="str">
        <v/>
      </c>
      <c r="F16" s="6" t="str">
        <v/>
      </c>
    </row>
    <row r="17">
      <c r="A17" s="4" t="str">
        <v>Growth below, multiple right</v>
      </c>
      <c r="B17" s="22">
        <f>Inputs!$B$22+-2</f>
        <v>6</v>
      </c>
      <c r="C17" s="22">
        <f>Inputs!$B$22+-1</f>
        <v>7</v>
      </c>
      <c r="D17" s="22">
        <f>Inputs!$B$22+0</f>
        <v>8</v>
      </c>
      <c r="E17" s="22">
        <f>Inputs!$B$22+1</f>
        <v>9</v>
      </c>
      <c r="F17" s="22">
        <f>Inputs!$B$22+2</f>
        <v>10</v>
      </c>
    </row>
    <row r="18">
      <c r="A18" s="23">
        <f>Inputs!$B$10+-0.02</f>
        <v>0.06823055346886432</v>
      </c>
      <c r="B18" s="16">
        <f>B13*(1+Inputs!$B$10+-0.02)*(B5/B13)*(Inputs!$B$22+-2)</f>
        <v>219.8418479038923</v>
      </c>
      <c r="C18" s="16">
        <f>B13*(1+Inputs!$B$10+-0.02)*(B5/B13)*(Inputs!$B$22+-1)</f>
        <v>256.48215588787434</v>
      </c>
      <c r="D18" s="16">
        <f>B13*(1+Inputs!$B$10+-0.02)*(B5/B13)*(Inputs!$B$22+0)</f>
        <v>293.1224638718564</v>
      </c>
      <c r="E18" s="16">
        <f>B13*(1+Inputs!$B$10+-0.02)*(B5/B13)*(Inputs!$B$22+1)</f>
        <v>329.7627718558384</v>
      </c>
      <c r="F18" s="16">
        <f>B13*(1+Inputs!$B$10+-0.02)*(B5/B13)*(Inputs!$B$22+2)</f>
        <v>366.40307983982046</v>
      </c>
    </row>
    <row r="19">
      <c r="A19" s="23">
        <f>Inputs!$B$10+-0.01</f>
        <v>0.07823055346886433</v>
      </c>
      <c r="B19" s="16">
        <f>B13*(1+Inputs!$B$10+-0.01)*(B5/B13)*(Inputs!$B$22+-2)</f>
        <v>221.89984790389227</v>
      </c>
      <c r="C19" s="16">
        <f>B13*(1+Inputs!$B$10+-0.01)*(B5/B13)*(Inputs!$B$22+-1)</f>
        <v>258.8831558878743</v>
      </c>
      <c r="D19" s="16">
        <f>B13*(1+Inputs!$B$10+-0.01)*(B5/B13)*(Inputs!$B$22+0)</f>
        <v>295.86646387185635</v>
      </c>
      <c r="E19" s="16">
        <f>B13*(1+Inputs!$B$10+-0.01)*(B5/B13)*(Inputs!$B$22+1)</f>
        <v>332.8497718558384</v>
      </c>
      <c r="F19" s="16">
        <f>B13*(1+Inputs!$B$10+-0.01)*(B5/B13)*(Inputs!$B$22+2)</f>
        <v>369.83307983982047</v>
      </c>
    </row>
    <row r="20">
      <c r="A20" s="23">
        <f>Inputs!$B$10+0</f>
        <v>0.08823055346886433</v>
      </c>
      <c r="B20" s="16">
        <f>B13*(1+Inputs!$B$10+0)*(B5/B13)*(Inputs!$B$22+-2)</f>
        <v>223.9578479038923</v>
      </c>
      <c r="C20" s="16">
        <f>B13*(1+Inputs!$B$10+0)*(B5/B13)*(Inputs!$B$22+-1)</f>
        <v>261.28415588787436</v>
      </c>
      <c r="D20" s="19">
        <f>B13*(1+Inputs!$B$10+0)*(B5/B13)*(Inputs!$B$22+0)</f>
        <v>298.6104638718564</v>
      </c>
      <c r="E20" s="16">
        <f>B13*(1+Inputs!$B$10+0)*(B5/B13)*(Inputs!$B$22+1)</f>
        <v>335.9367718558384</v>
      </c>
      <c r="F20" s="16">
        <f>B13*(1+Inputs!$B$10+0)*(B5/B13)*(Inputs!$B$22+2)</f>
        <v>373.2630798398205</v>
      </c>
    </row>
    <row r="21">
      <c r="A21" s="23">
        <f>Inputs!$B$10+0.01</f>
        <v>0.09823055346886432</v>
      </c>
      <c r="B21" s="16">
        <f>B13*(1+Inputs!$B$10+0.01)*(B5/B13)*(Inputs!$B$22+-2)</f>
        <v>226.01584790389228</v>
      </c>
      <c r="C21" s="16">
        <f>B13*(1+Inputs!$B$10+0.01)*(B5/B13)*(Inputs!$B$22+-1)</f>
        <v>263.6851558878743</v>
      </c>
      <c r="D21" s="16">
        <f>B13*(1+Inputs!$B$10+0.01)*(B5/B13)*(Inputs!$B$22+0)</f>
        <v>301.35446387185635</v>
      </c>
      <c r="E21" s="16">
        <f>B13*(1+Inputs!$B$10+0.01)*(B5/B13)*(Inputs!$B$22+1)</f>
        <v>339.0237718558384</v>
      </c>
      <c r="F21" s="16">
        <f>B13*(1+Inputs!$B$10+0.01)*(B5/B13)*(Inputs!$B$22+2)</f>
        <v>376.6930798398204</v>
      </c>
    </row>
    <row r="22">
      <c r="A22" s="23">
        <f>Inputs!$B$10+0.02</f>
        <v>0.10823055346886433</v>
      </c>
      <c r="B22" s="16">
        <f>B13*(1+Inputs!$B$10+0.02)*(B5/B13)*(Inputs!$B$22+-2)</f>
        <v>228.07384790389224</v>
      </c>
      <c r="C22" s="16">
        <f>B13*(1+Inputs!$B$10+0.02)*(B5/B13)*(Inputs!$B$22+-1)</f>
        <v>266.08615588787427</v>
      </c>
      <c r="D22" s="16">
        <f>B13*(1+Inputs!$B$10+0.02)*(B5/B13)*(Inputs!$B$22+0)</f>
        <v>304.0984638718563</v>
      </c>
      <c r="E22" s="16">
        <f>B13*(1+Inputs!$B$10+0.02)*(B5/B13)*(Inputs!$B$22+1)</f>
        <v>342.1107718558384</v>
      </c>
      <c r="F22" s="16">
        <f>B13*(1+Inputs!$B$10+0.02)*(B5/B13)*(Inputs!$B$22+2)</f>
        <v>380.12307983982043</v>
      </c>
    </row>
    <row r="23">
      <c r="A23" s="4" t="str">
        <v>EBITDA in each cell is next year revenue at that growth times the current margin.</v>
      </c>
    </row>
  </sheetData>
  <ignoredErrors>
    <ignoredError numberStoredAsText="1" sqref="A1:F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Inputs</vt:lpstr>
      <vt:lpstr>Model</vt:lpstr>
      <vt:lpstr>Synergies</vt:lpstr>
      <vt:lpstr>Valuation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